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9040" windowHeight="15840" activeTab="0"/>
  </bookViews>
  <sheets>
    <sheet name="Product Pricing" sheetId="1" r:id="rId1"/>
    <sheet name="Leather List" sheetId="2" r:id="rId2"/>
    <sheet name="Hardware List" sheetId="3" r:id="rId3"/>
    <sheet name="Thread List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<sst xmlns="http://schemas.openxmlformats.org/spreadsheetml/2006/main" count="108" uniqueCount="84">
  <si>
    <t>Material</t>
  </si>
  <si>
    <t>Item</t>
  </si>
  <si>
    <t>Buy Price</t>
  </si>
  <si>
    <t>Hardware</t>
  </si>
  <si>
    <t>Pattern Size</t>
  </si>
  <si>
    <t>Material Pattern Cost</t>
  </si>
  <si>
    <t>Material cost</t>
  </si>
  <si>
    <t>Hardware cost</t>
  </si>
  <si>
    <t>Labour cost</t>
  </si>
  <si>
    <t>Total Cost of Item</t>
  </si>
  <si>
    <t>Labour</t>
  </si>
  <si>
    <t>Cost Per Hour</t>
  </si>
  <si>
    <t>Size SqFt</t>
  </si>
  <si>
    <t xml:space="preserve">Cost per SQFT </t>
  </si>
  <si>
    <t>Bridle</t>
  </si>
  <si>
    <t>Description</t>
  </si>
  <si>
    <t>Black sedgwicks</t>
  </si>
  <si>
    <t>Cut</t>
  </si>
  <si>
    <t>bend</t>
  </si>
  <si>
    <t>side</t>
  </si>
  <si>
    <t>ITEM</t>
  </si>
  <si>
    <t>DESCRIPTION</t>
  </si>
  <si>
    <t>Brass Buckle 1inch</t>
  </si>
  <si>
    <t>1 Inch Brass buckle</t>
  </si>
  <si>
    <t>Unit per pack</t>
  </si>
  <si>
    <t>Cost per Unit</t>
  </si>
  <si>
    <t>Silver Buckle 1 Inch</t>
  </si>
  <si>
    <t>1 Inch Silver Buckle</t>
  </si>
  <si>
    <t>LEATHER</t>
  </si>
  <si>
    <t xml:space="preserve">DESCRIPTION </t>
  </si>
  <si>
    <t>UNIT COST</t>
  </si>
  <si>
    <t>COST</t>
  </si>
  <si>
    <t>AMOUNT REQUIRED FOR PROJECT</t>
  </si>
  <si>
    <t>SQFT USED- if known</t>
  </si>
  <si>
    <t>Approx SqFt based on A4 paper .063sqft</t>
  </si>
  <si>
    <t>A4 Pages used</t>
  </si>
  <si>
    <t>SqFt for Project</t>
  </si>
  <si>
    <t>Time Taken - hours</t>
  </si>
  <si>
    <t>Sale Price</t>
  </si>
  <si>
    <t>Latigo 2-2.8</t>
  </si>
  <si>
    <t>2.0-2.8mm chrome and oiled</t>
  </si>
  <si>
    <t>Shipping</t>
  </si>
  <si>
    <t>Postage</t>
  </si>
  <si>
    <t xml:space="preserve">Packaging </t>
  </si>
  <si>
    <t>Total Shipping Cost</t>
  </si>
  <si>
    <t>Thread for Needles 
(9 cm per needle)</t>
  </si>
  <si>
    <t>Stitch length 
(hole spacing mm)</t>
  </si>
  <si>
    <t>Seam Length 
(Total length of stitching cm)</t>
  </si>
  <si>
    <t>Total Thread Needed - (cm)</t>
  </si>
  <si>
    <t>Thread</t>
  </si>
  <si>
    <t>Colour</t>
  </si>
  <si>
    <t>yellow</t>
  </si>
  <si>
    <t>Length (Metre)</t>
  </si>
  <si>
    <t>Cost per Meter</t>
  </si>
  <si>
    <t>Thread Cost</t>
  </si>
  <si>
    <t>Profit to make (%)</t>
  </si>
  <si>
    <t>Extras</t>
  </si>
  <si>
    <t>KEY</t>
  </si>
  <si>
    <t>Drop Down</t>
  </si>
  <si>
    <t>Free Type Number</t>
  </si>
  <si>
    <t>Auto Fill</t>
  </si>
  <si>
    <t>Line 24 Snaps</t>
  </si>
  <si>
    <t>Nickel line 24 snaps</t>
  </si>
  <si>
    <t xml:space="preserve">Tiger </t>
  </si>
  <si>
    <t>.6mm</t>
  </si>
  <si>
    <t>Alex's Cowculator</t>
  </si>
  <si>
    <t>Total Thickness of Material (mm)</t>
  </si>
  <si>
    <t>Letmein!</t>
  </si>
  <si>
    <t>Cost per Metre</t>
  </si>
  <si>
    <t>Supplier</t>
  </si>
  <si>
    <t>ADD TAX (%)</t>
  </si>
  <si>
    <t>Cost + TAX</t>
  </si>
  <si>
    <t>Labour - Tooling</t>
  </si>
  <si>
    <t>Labour cost - Tooling</t>
  </si>
  <si>
    <t>Met 1.-1.5mm tooling side</t>
  </si>
  <si>
    <t>1-1.5mm tooling leather</t>
  </si>
  <si>
    <t>metrop</t>
  </si>
  <si>
    <t>Line 20 Snaps</t>
  </si>
  <si>
    <t>Nickel line 20 snaps</t>
  </si>
  <si>
    <t xml:space="preserve">Tandy </t>
  </si>
  <si>
    <t>tiger - red 6mm</t>
  </si>
  <si>
    <t>red</t>
  </si>
  <si>
    <t>etsy - Blindleather</t>
  </si>
  <si>
    <t>Wallet W/coin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</si>
</sst>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2" tint="-0.09996999800205231"/>
      <name val="Calibri"/>
      <family val="2"/>
    </font>
    <font>
      <sz val="11"/>
      <color theme="2" tint="-0.4999699890613556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theme="8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/>
      <bottom style="medium">
        <color rgb="FF000000"/>
      </bottom>
    </border>
    <border>
      <left style="medium">
        <color rgb="FFCCCCCC"/>
      </left>
      <right style="medium"/>
      <top style="medium"/>
      <bottom style="medium">
        <color rgb="FF000000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>
        <color rgb="FFCCCCCC"/>
      </top>
      <bottom style="medium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13" borderId="12" xfId="0" applyFont="1" applyFill="1" applyBorder="1" applyAlignment="1">
      <alignment horizontal="center" vertical="center" wrapText="1"/>
    </xf>
    <xf numFmtId="0" fontId="48" fillId="11" borderId="13" xfId="0" applyFont="1" applyFill="1" applyBorder="1" applyAlignment="1">
      <alignment horizontal="center" vertical="center" wrapText="1"/>
    </xf>
    <xf numFmtId="0" fontId="48" fillId="11" borderId="14" xfId="0" applyFont="1" applyFill="1" applyBorder="1" applyAlignment="1">
      <alignment horizontal="center" vertical="center" wrapText="1"/>
    </xf>
    <xf numFmtId="0" fontId="48" fillId="11" borderId="15" xfId="0" applyFont="1" applyFill="1" applyBorder="1" applyAlignment="1">
      <alignment horizontal="center" vertical="center" wrapText="1"/>
    </xf>
    <xf numFmtId="0" fontId="48" fillId="14" borderId="16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/>
    </xf>
    <xf numFmtId="8" fontId="48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9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48" fillId="14" borderId="24" xfId="0" applyFont="1" applyFill="1" applyBorder="1" applyAlignment="1">
      <alignment horizontal="center" vertical="center" wrapText="1"/>
    </xf>
    <xf numFmtId="0" fontId="48" fillId="14" borderId="26" xfId="0" applyFont="1" applyFill="1" applyBorder="1" applyAlignment="1">
      <alignment horizontal="center" vertical="center" wrapText="1"/>
    </xf>
    <xf numFmtId="0" fontId="48" fillId="14" borderId="27" xfId="0" applyFont="1" applyFill="1" applyBorder="1" applyAlignment="1">
      <alignment horizontal="center" vertical="center" wrapText="1"/>
    </xf>
    <xf numFmtId="0" fontId="48" fillId="13" borderId="28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48" fillId="14" borderId="28" xfId="0" applyFont="1" applyFill="1" applyBorder="1" applyAlignment="1">
      <alignment horizontal="center" vertical="center" wrapText="1"/>
    </xf>
    <xf numFmtId="0" fontId="48" fillId="14" borderId="29" xfId="0" applyFont="1" applyFill="1" applyBorder="1" applyAlignment="1">
      <alignment horizontal="center" vertical="center" wrapText="1"/>
    </xf>
    <xf numFmtId="0" fontId="48" fillId="14" borderId="30" xfId="0" applyFont="1" applyFill="1" applyBorder="1" applyAlignment="1">
      <alignment horizontal="center" vertical="center" wrapText="1"/>
    </xf>
    <xf numFmtId="0" fontId="49" fillId="11" borderId="31" xfId="0" applyFont="1" applyFill="1" applyBorder="1" applyAlignment="1">
      <alignment horizontal="center" vertical="center" wrapText="1"/>
    </xf>
    <xf numFmtId="0" fontId="48" fillId="34" borderId="32" xfId="0" applyFont="1" applyFill="1" applyBorder="1" applyAlignment="1" applyProtection="1">
      <alignment horizontal="center" vertical="center" wrapText="1"/>
      <protection locked="0"/>
    </xf>
    <xf numFmtId="8" fontId="48" fillId="34" borderId="33" xfId="0" applyNumberFormat="1" applyFont="1" applyFill="1" applyBorder="1" applyAlignment="1" applyProtection="1">
      <alignment horizontal="center" vertical="center" wrapText="1"/>
      <protection locked="0"/>
    </xf>
    <xf numFmtId="9" fontId="5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48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48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48" fillId="34" borderId="27" xfId="0" applyFont="1" applyFill="1" applyBorder="1" applyAlignment="1" applyProtection="1">
      <alignment horizontal="center" vertical="center" wrapText="1"/>
      <protection locked="0"/>
    </xf>
    <xf numFmtId="0" fontId="48" fillId="34" borderId="37" xfId="44" applyNumberFormat="1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>
      <alignment horizontal="center" vertical="center" wrapText="1"/>
    </xf>
    <xf numFmtId="0" fontId="46" fillId="7" borderId="3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 wrapText="1"/>
    </xf>
    <xf numFmtId="0" fontId="51" fillId="0" borderId="3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46" fillId="9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50" fillId="14" borderId="12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  <xf numFmtId="0" fontId="48" fillId="13" borderId="39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8" fillId="11" borderId="41" xfId="0" applyFont="1" applyFill="1" applyBorder="1" applyAlignment="1">
      <alignment horizontal="center" vertical="center" wrapText="1"/>
    </xf>
    <xf numFmtId="0" fontId="8" fillId="11" borderId="4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46" fillId="9" borderId="18" xfId="0" applyFont="1" applyFill="1" applyBorder="1" applyAlignment="1" applyProtection="1">
      <alignment horizontal="center" vertical="center"/>
      <protection locked="0"/>
    </xf>
    <xf numFmtId="0" fontId="46" fillId="8" borderId="44" xfId="0" applyFont="1" applyFill="1" applyBorder="1" applyAlignment="1">
      <alignment horizontal="center" vertical="center"/>
    </xf>
    <xf numFmtId="0" fontId="46" fillId="9" borderId="45" xfId="0" applyFont="1" applyFill="1" applyBorder="1" applyAlignment="1" applyProtection="1">
      <alignment horizontal="center" vertical="center"/>
      <protection locked="0"/>
    </xf>
    <xf numFmtId="0" fontId="46" fillId="8" borderId="46" xfId="0" applyFont="1" applyFill="1" applyBorder="1" applyAlignment="1">
      <alignment horizontal="center" vertical="center"/>
    </xf>
    <xf numFmtId="0" fontId="48" fillId="9" borderId="18" xfId="0" applyFont="1" applyFill="1" applyBorder="1" applyAlignment="1" applyProtection="1">
      <alignment horizontal="center" vertical="center" wrapText="1"/>
      <protection locked="0"/>
    </xf>
    <xf numFmtId="0" fontId="48" fillId="14" borderId="44" xfId="0" applyFont="1" applyFill="1" applyBorder="1" applyAlignment="1">
      <alignment horizontal="center" vertical="center" wrapText="1"/>
    </xf>
    <xf numFmtId="0" fontId="48" fillId="9" borderId="47" xfId="0" applyFont="1" applyFill="1" applyBorder="1" applyAlignment="1" applyProtection="1">
      <alignment horizontal="center" vertical="center" wrapText="1"/>
      <protection locked="0"/>
    </xf>
    <xf numFmtId="0" fontId="48" fillId="9" borderId="48" xfId="0" applyFont="1" applyFill="1" applyBorder="1" applyAlignment="1" applyProtection="1">
      <alignment horizontal="center" vertical="center" wrapText="1"/>
      <protection locked="0"/>
    </xf>
    <xf numFmtId="0" fontId="48" fillId="14" borderId="21" xfId="0" applyFont="1" applyFill="1" applyBorder="1" applyAlignment="1">
      <alignment horizontal="center" vertical="center" wrapText="1"/>
    </xf>
    <xf numFmtId="0" fontId="48" fillId="34" borderId="44" xfId="44" applyNumberFormat="1" applyFont="1" applyFill="1" applyBorder="1" applyAlignment="1" applyProtection="1">
      <alignment horizontal="center" vertical="center" wrapText="1"/>
      <protection locked="0"/>
    </xf>
    <xf numFmtId="0" fontId="48" fillId="9" borderId="19" xfId="0" applyFont="1" applyFill="1" applyBorder="1" applyAlignment="1" applyProtection="1">
      <alignment horizontal="center" vertical="center" wrapText="1"/>
      <protection locked="0"/>
    </xf>
    <xf numFmtId="0" fontId="48" fillId="9" borderId="45" xfId="0" applyFont="1" applyFill="1" applyBorder="1" applyAlignment="1" applyProtection="1">
      <alignment horizontal="center" vertical="center" wrapText="1"/>
      <protection locked="0"/>
    </xf>
    <xf numFmtId="0" fontId="48" fillId="34" borderId="46" xfId="44" applyNumberFormat="1" applyFont="1" applyFill="1" applyBorder="1" applyAlignment="1" applyProtection="1">
      <alignment horizontal="center" vertical="center" wrapText="1"/>
      <protection locked="0"/>
    </xf>
    <xf numFmtId="1" fontId="46" fillId="36" borderId="49" xfId="0" applyNumberFormat="1" applyFont="1" applyFill="1" applyBorder="1" applyAlignment="1">
      <alignment horizontal="center" vertical="center"/>
    </xf>
    <xf numFmtId="0" fontId="46" fillId="34" borderId="50" xfId="0" applyFont="1" applyFill="1" applyBorder="1" applyAlignment="1" applyProtection="1">
      <alignment horizontal="center" vertical="center"/>
      <protection locked="0"/>
    </xf>
    <xf numFmtId="0" fontId="46" fillId="34" borderId="51" xfId="0" applyFont="1" applyFill="1" applyBorder="1" applyAlignment="1" applyProtection="1">
      <alignment horizontal="center" vertical="center"/>
      <protection locked="0"/>
    </xf>
    <xf numFmtId="0" fontId="46" fillId="34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44" fontId="53" fillId="33" borderId="0" xfId="44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9" fontId="51" fillId="0" borderId="37" xfId="57" applyFont="1" applyBorder="1" applyAlignment="1" applyProtection="1">
      <alignment horizontal="center" vertical="center" wrapText="1"/>
      <protection locked="0"/>
    </xf>
    <xf numFmtId="9" fontId="51" fillId="0" borderId="40" xfId="57" applyFont="1" applyBorder="1" applyAlignment="1" applyProtection="1">
      <alignment horizontal="center" vertical="center" wrapText="1"/>
      <protection locked="0"/>
    </xf>
    <xf numFmtId="164" fontId="48" fillId="14" borderId="52" xfId="0" applyNumberFormat="1" applyFont="1" applyFill="1" applyBorder="1" applyAlignment="1">
      <alignment horizontal="center" vertical="center" wrapText="1"/>
    </xf>
    <xf numFmtId="164" fontId="48" fillId="14" borderId="53" xfId="0" applyNumberFormat="1" applyFont="1" applyFill="1" applyBorder="1" applyAlignment="1">
      <alignment horizontal="center" vertical="center" wrapText="1"/>
    </xf>
    <xf numFmtId="164" fontId="48" fillId="14" borderId="49" xfId="0" applyNumberFormat="1" applyFont="1" applyFill="1" applyBorder="1" applyAlignment="1">
      <alignment horizontal="center" vertical="center" wrapText="1"/>
    </xf>
    <xf numFmtId="164" fontId="48" fillId="14" borderId="54" xfId="0" applyNumberFormat="1" applyFont="1" applyFill="1" applyBorder="1" applyAlignment="1">
      <alignment horizontal="center" vertical="center" wrapText="1"/>
    </xf>
    <xf numFmtId="164" fontId="54" fillId="14" borderId="52" xfId="44" applyNumberFormat="1" applyFont="1" applyFill="1" applyBorder="1" applyAlignment="1">
      <alignment horizontal="center" vertical="center"/>
    </xf>
    <xf numFmtId="164" fontId="54" fillId="14" borderId="55" xfId="44" applyNumberFormat="1" applyFont="1" applyFill="1" applyBorder="1" applyAlignment="1">
      <alignment horizontal="center" vertical="center"/>
    </xf>
    <xf numFmtId="164" fontId="55" fillId="14" borderId="55" xfId="44" applyNumberFormat="1" applyFont="1" applyFill="1" applyBorder="1" applyAlignment="1">
      <alignment horizontal="center" vertical="center" wrapText="1"/>
    </xf>
    <xf numFmtId="164" fontId="55" fillId="14" borderId="56" xfId="44" applyNumberFormat="1" applyFont="1" applyFill="1" applyBorder="1" applyAlignment="1">
      <alignment horizontal="center" vertical="center" wrapText="1"/>
    </xf>
    <xf numFmtId="164" fontId="56" fillId="36" borderId="43" xfId="44" applyNumberFormat="1" applyFont="1" applyFill="1" applyBorder="1" applyAlignment="1">
      <alignment horizontal="center" vertical="center"/>
    </xf>
    <xf numFmtId="164" fontId="57" fillId="14" borderId="57" xfId="44" applyNumberFormat="1" applyFont="1" applyFill="1" applyBorder="1" applyAlignment="1">
      <alignment horizontal="center" vertical="center"/>
    </xf>
    <xf numFmtId="164" fontId="57" fillId="34" borderId="55" xfId="44" applyNumberFormat="1" applyFont="1" applyFill="1" applyBorder="1" applyAlignment="1" applyProtection="1">
      <alignment horizontal="center" vertical="center"/>
      <protection locked="0"/>
    </xf>
    <xf numFmtId="164" fontId="58" fillId="36" borderId="49" xfId="0" applyNumberFormat="1" applyFont="1" applyFill="1" applyBorder="1" applyAlignment="1">
      <alignment horizontal="center" vertical="center"/>
    </xf>
    <xf numFmtId="164" fontId="48" fillId="14" borderId="44" xfId="0" applyNumberFormat="1" applyFont="1" applyFill="1" applyBorder="1" applyAlignment="1">
      <alignment horizontal="center" vertical="center" wrapText="1"/>
    </xf>
    <xf numFmtId="164" fontId="48" fillId="14" borderId="16" xfId="0" applyNumberFormat="1" applyFont="1" applyFill="1" applyBorder="1" applyAlignment="1">
      <alignment horizontal="center" vertical="center" wrapText="1"/>
    </xf>
    <xf numFmtId="164" fontId="48" fillId="14" borderId="21" xfId="0" applyNumberFormat="1" applyFont="1" applyFill="1" applyBorder="1" applyAlignment="1">
      <alignment horizontal="center" vertical="center" wrapText="1"/>
    </xf>
    <xf numFmtId="164" fontId="46" fillId="8" borderId="52" xfId="44" applyNumberFormat="1" applyFont="1" applyFill="1" applyBorder="1" applyAlignment="1">
      <alignment horizontal="center" vertical="center"/>
    </xf>
    <xf numFmtId="164" fontId="46" fillId="8" borderId="58" xfId="0" applyNumberFormat="1" applyFont="1" applyFill="1" applyBorder="1" applyAlignment="1">
      <alignment horizontal="center" vertical="center"/>
    </xf>
    <xf numFmtId="164" fontId="8" fillId="14" borderId="25" xfId="0" applyNumberFormat="1" applyFont="1" applyFill="1" applyBorder="1" applyAlignment="1">
      <alignment horizontal="center" vertical="center" wrapText="1"/>
    </xf>
    <xf numFmtId="164" fontId="8" fillId="14" borderId="59" xfId="0" applyNumberFormat="1" applyFont="1" applyFill="1" applyBorder="1" applyAlignment="1">
      <alignment horizontal="center" vertical="center" wrapText="1"/>
    </xf>
    <xf numFmtId="164" fontId="8" fillId="14" borderId="58" xfId="0" applyNumberFormat="1" applyFont="1" applyFill="1" applyBorder="1" applyAlignment="1">
      <alignment horizontal="center" vertical="center" wrapText="1"/>
    </xf>
    <xf numFmtId="44" fontId="51" fillId="0" borderId="37" xfId="44" applyFont="1" applyBorder="1" applyAlignment="1" applyProtection="1">
      <alignment horizontal="center" vertical="center" wrapText="1"/>
      <protection locked="0"/>
    </xf>
    <xf numFmtId="44" fontId="0" fillId="0" borderId="37" xfId="44" applyFont="1" applyBorder="1" applyAlignment="1" applyProtection="1">
      <alignment horizontal="center" vertical="center"/>
      <protection locked="0"/>
    </xf>
    <xf numFmtId="44" fontId="0" fillId="0" borderId="40" xfId="44" applyFont="1" applyBorder="1" applyAlignment="1" applyProtection="1">
      <alignment horizontal="center" vertical="center"/>
      <protection locked="0"/>
    </xf>
    <xf numFmtId="44" fontId="59" fillId="0" borderId="40" xfId="44" applyFont="1" applyBorder="1" applyAlignment="1" applyProtection="1">
      <alignment horizontal="center" vertical="center"/>
      <protection/>
    </xf>
    <xf numFmtId="44" fontId="51" fillId="0" borderId="37" xfId="44" applyFont="1" applyBorder="1" applyAlignment="1" applyProtection="1">
      <alignment horizontal="center" vertical="center" wrapText="1"/>
      <protection/>
    </xf>
    <xf numFmtId="44" fontId="59" fillId="0" borderId="37" xfId="44" applyFont="1" applyBorder="1" applyAlignment="1" applyProtection="1">
      <alignment horizontal="center" vertical="center"/>
      <protection/>
    </xf>
    <xf numFmtId="44" fontId="51" fillId="0" borderId="40" xfId="44" applyFont="1" applyBorder="1" applyAlignment="1" applyProtection="1">
      <alignment horizontal="center" vertical="center" wrapText="1"/>
      <protection/>
    </xf>
    <xf numFmtId="44" fontId="0" fillId="0" borderId="37" xfId="44" applyFont="1" applyBorder="1" applyAlignment="1" applyProtection="1">
      <alignment horizontal="center"/>
      <protection locked="0"/>
    </xf>
    <xf numFmtId="44" fontId="0" fillId="0" borderId="40" xfId="44" applyFont="1" applyBorder="1" applyAlignment="1" applyProtection="1">
      <alignment horizontal="center"/>
      <protection locked="0"/>
    </xf>
    <xf numFmtId="44" fontId="51" fillId="0" borderId="37" xfId="44" applyFont="1" applyBorder="1" applyAlignment="1">
      <alignment horizontal="center" vertical="center" wrapText="1"/>
    </xf>
    <xf numFmtId="44" fontId="59" fillId="0" borderId="37" xfId="44" applyFont="1" applyBorder="1" applyAlignment="1">
      <alignment horizontal="center" vertical="center"/>
    </xf>
    <xf numFmtId="44" fontId="59" fillId="0" borderId="40" xfId="44" applyFont="1" applyBorder="1" applyAlignment="1">
      <alignment horizontal="center" vertical="center"/>
    </xf>
    <xf numFmtId="44" fontId="51" fillId="0" borderId="40" xfId="44" applyFont="1" applyBorder="1" applyAlignment="1">
      <alignment horizontal="center" vertical="center" wrapText="1"/>
    </xf>
    <xf numFmtId="0" fontId="0" fillId="0" borderId="40" xfId="0" applyFont="1" applyBorder="1" applyAlignment="1" applyProtection="1">
      <alignment horizontal="center"/>
      <protection locked="0"/>
    </xf>
    <xf numFmtId="44" fontId="0" fillId="0" borderId="40" xfId="44" applyFont="1" applyBorder="1" applyAlignment="1">
      <alignment horizontal="center" vertical="center"/>
    </xf>
    <xf numFmtId="44" fontId="0" fillId="0" borderId="40" xfId="44" applyFont="1" applyBorder="1" applyAlignment="1" applyProtection="1">
      <alignment horizontal="center" vertical="center"/>
      <protection/>
    </xf>
    <xf numFmtId="0" fontId="60" fillId="37" borderId="60" xfId="0" applyFont="1" applyFill="1" applyBorder="1" applyAlignment="1" applyProtection="1">
      <alignment horizontal="center" vertical="center"/>
      <protection locked="0"/>
    </xf>
    <xf numFmtId="0" fontId="60" fillId="37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17</xdr:row>
      <xdr:rowOff>19050</xdr:rowOff>
    </xdr:from>
    <xdr:to>
      <xdr:col>13</xdr:col>
      <xdr:colOff>295275</xdr:colOff>
      <xdr:row>19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64770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B4:D10" comment="" totalsRowShown="0">
  <autoFilter ref="B4:D10"/>
  <tableColumns count="3">
    <tableColumn id="1" name="LEATHER"/>
    <tableColumn id="2" name="DESCRIPTION"/>
    <tableColumn id="3" name="Cost per SQFT 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M4:Q10" comment="" totalsRowShown="0">
  <autoFilter ref="M4:Q10"/>
  <tableColumns count="5">
    <tableColumn id="1" name="ITEM"/>
    <tableColumn id="2" name="DESCRIPTION "/>
    <tableColumn id="3" name="AMOUNT REQUIRED FOR PROJECT"/>
    <tableColumn id="4" name="UNIT COST"/>
    <tableColumn id="5" name="COS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G4:K10" comment="" totalsRowShown="0">
  <autoFilter ref="G4:K10"/>
  <tableColumns count="5">
    <tableColumn id="1" name="SQFT USED- if known"/>
    <tableColumn id="2" name="A4 Pages used"/>
    <tableColumn id="3" name="SqFt for Project"/>
    <tableColumn id="4" name="Material Pattern Cost"/>
    <tableColumn id="5" name="Approx SqFt based on A4 paper .063sqft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I18" comment="" totalsRowShown="0">
  <autoFilter ref="A1:I18"/>
  <tableColumns count="9">
    <tableColumn id="1" name="Item"/>
    <tableColumn id="2" name="Description"/>
    <tableColumn id="3" name="Cut"/>
    <tableColumn id="4" name="Size SqFt"/>
    <tableColumn id="7" name="Supplier"/>
    <tableColumn id="5" name="Buy Price"/>
    <tableColumn id="6" name="ADD TAX (%)"/>
    <tableColumn id="9" name="Cost + TAX"/>
    <tableColumn id="10" name="Cost per SQFT 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3" name="Table24" displayName="Table24" ref="A1:H16" comment="" totalsRowShown="0">
  <autoFilter ref="A1:H16"/>
  <tableColumns count="8">
    <tableColumn id="1" name="Item"/>
    <tableColumn id="2" name="Description"/>
    <tableColumn id="4" name="Unit per pack"/>
    <tableColumn id="3" name="Supplier"/>
    <tableColumn id="5" name="Buy Price"/>
    <tableColumn id="6" name="ADD TAX (%)"/>
    <tableColumn id="9" name="Cost + TAX"/>
    <tableColumn id="10" name="Cost per Unit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id="4" name="Table25" displayName="Table25" ref="A1:I16" comment="" totalsRowShown="0">
  <autoFilter ref="A1:I16"/>
  <tableColumns count="9">
    <tableColumn id="1" name="Thread"/>
    <tableColumn id="2" name="Description"/>
    <tableColumn id="3" name="Colour"/>
    <tableColumn id="4" name="Length (Metre)"/>
    <tableColumn id="7" name="Supplier"/>
    <tableColumn id="5" name="Buy Price"/>
    <tableColumn id="6" name="ADD TAX (%)"/>
    <tableColumn id="9" name="Cost + TAX"/>
    <tableColumn id="10" name="Cost per Metre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table" Target="../tables/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"/>
  <sheetViews>
    <sheetView tabSelected="1" zoomScale="85" zoomScaleNormal="85" zoomScalePageLayoutView="0" workbookViewId="0" topLeftCell="A1">
      <selection activeCell="B5" sqref="B5"/>
    </sheetView>
  </sheetViews>
  <sheetFormatPr defaultColWidth="0" defaultRowHeight="0" customHeight="1" zeroHeight="1"/>
  <cols>
    <col min="1" max="1" width="3.00390625" style="79" customWidth="1"/>
    <col min="2" max="2" width="17.57421875" style="79" customWidth="1"/>
    <col min="3" max="3" width="21.140625" style="79" customWidth="1"/>
    <col min="4" max="4" width="34.7109375" style="79" customWidth="1"/>
    <col min="5" max="5" width="2.57421875" style="79" customWidth="1"/>
    <col min="6" max="6" width="3.00390625" style="79" customWidth="1"/>
    <col min="7" max="7" width="22.57421875" style="79" customWidth="1"/>
    <col min="8" max="8" width="17.57421875" style="79" customWidth="1"/>
    <col min="9" max="9" width="17.28125" style="79" customWidth="1"/>
    <col min="10" max="10" width="22.00390625" style="79" customWidth="1"/>
    <col min="11" max="11" width="16.421875" style="79" hidden="1" customWidth="1"/>
    <col min="12" max="12" width="2.8515625" style="79" customWidth="1"/>
    <col min="13" max="13" width="15.7109375" style="79" customWidth="1"/>
    <col min="14" max="14" width="16.8515625" style="16" bestFit="1" customWidth="1"/>
    <col min="15" max="15" width="23.8515625" style="16" bestFit="1" customWidth="1"/>
    <col min="16" max="17" width="12.421875" style="16" customWidth="1"/>
    <col min="18" max="18" width="1.421875" style="79" customWidth="1"/>
    <col min="19" max="16384" width="12.421875" style="79" hidden="1" customWidth="1"/>
  </cols>
  <sheetData>
    <row r="1" spans="1:18" ht="10.5" customHeight="1" thickBot="1">
      <c r="A1" s="16"/>
      <c r="B1" s="16"/>
      <c r="C1" s="16"/>
      <c r="D1" s="80"/>
      <c r="E1" s="80"/>
      <c r="F1" s="16"/>
      <c r="G1" s="16"/>
      <c r="H1" s="16"/>
      <c r="I1" s="16"/>
      <c r="J1" s="80"/>
      <c r="K1" s="80"/>
      <c r="L1" s="16"/>
      <c r="M1" s="16"/>
      <c r="R1" s="16"/>
    </row>
    <row r="2" spans="2:4" s="16" customFormat="1" ht="33" customHeight="1" thickBot="1">
      <c r="B2" s="61" t="s">
        <v>65</v>
      </c>
      <c r="C2" s="124" t="s">
        <v>83</v>
      </c>
      <c r="D2" s="125"/>
    </row>
    <row r="3" spans="1:18" ht="26.25" customHeight="1" thickBot="1">
      <c r="A3" s="16"/>
      <c r="B3" s="54" t="s">
        <v>0</v>
      </c>
      <c r="C3" s="80"/>
      <c r="D3" s="80"/>
      <c r="E3" s="80"/>
      <c r="F3" s="80"/>
      <c r="G3" s="28" t="s">
        <v>4</v>
      </c>
      <c r="H3" s="16"/>
      <c r="I3" s="9"/>
      <c r="J3" s="80"/>
      <c r="K3" s="16"/>
      <c r="L3" s="16"/>
      <c r="M3" s="4" t="s">
        <v>3</v>
      </c>
      <c r="N3" s="80"/>
      <c r="O3" s="80"/>
      <c r="P3" s="80"/>
      <c r="Q3" s="80"/>
      <c r="R3" s="16"/>
    </row>
    <row r="4" spans="1:18" ht="33.75" customHeight="1" thickBot="1">
      <c r="A4" s="80"/>
      <c r="B4" s="17" t="s">
        <v>28</v>
      </c>
      <c r="C4" s="18" t="s">
        <v>21</v>
      </c>
      <c r="D4" s="19" t="s">
        <v>13</v>
      </c>
      <c r="E4" s="20"/>
      <c r="F4" s="20"/>
      <c r="G4" s="22" t="s">
        <v>33</v>
      </c>
      <c r="H4" s="23" t="s">
        <v>35</v>
      </c>
      <c r="I4" s="23" t="s">
        <v>36</v>
      </c>
      <c r="J4" s="24" t="s">
        <v>5</v>
      </c>
      <c r="K4" s="29" t="s">
        <v>34</v>
      </c>
      <c r="L4" s="20"/>
      <c r="M4" s="21" t="s">
        <v>20</v>
      </c>
      <c r="N4" s="18" t="s">
        <v>29</v>
      </c>
      <c r="O4" s="18" t="s">
        <v>32</v>
      </c>
      <c r="P4" s="18" t="s">
        <v>30</v>
      </c>
      <c r="Q4" s="19" t="s">
        <v>31</v>
      </c>
      <c r="R4" s="16"/>
    </row>
    <row r="5" spans="1:18" ht="27.75" customHeight="1">
      <c r="A5" s="80"/>
      <c r="B5" s="66" t="s">
        <v>74</v>
      </c>
      <c r="C5" s="67" t="str">
        <f>IF(ISNA(VLOOKUP(B5,'Leather List'!$A$2:$I$18,2,FALSE)),"",VLOOKUP(B5,'Leather List'!$A$2:$I$18,2,FALSE))</f>
        <v>1-1.5mm tooling leather</v>
      </c>
      <c r="D5" s="88">
        <f>IF(ISNA(VLOOKUP(B5,'Leather List'!$A$2:$I$18,9,FALSE)),"",VLOOKUP(B5,'Leather List'!$A$2:$I$18,9,FALSE))</f>
        <v>7.561224489795917</v>
      </c>
      <c r="E5" s="15"/>
      <c r="F5" s="15"/>
      <c r="G5" s="37">
        <v>1.25</v>
      </c>
      <c r="H5" s="38"/>
      <c r="I5" s="25">
        <f aca="true" t="shared" si="0" ref="I5:I10">IF(ISBLANK(G5),K5,G5)</f>
        <v>1.25</v>
      </c>
      <c r="J5" s="105">
        <f aca="true" t="shared" si="1" ref="J5:J10">IF(I5="","",SUM(I5*D5))</f>
        <v>9.451530612244897</v>
      </c>
      <c r="K5" s="30">
        <f>IF(H5="","",H5*0.63)</f>
      </c>
      <c r="L5" s="9"/>
      <c r="M5" s="66" t="s">
        <v>61</v>
      </c>
      <c r="N5" s="67" t="str">
        <f>IF(ISNA(VLOOKUP(M5,'Hardware List'!$A$2:$H$16,2,FALSE)),"",VLOOKUP(M5,'Hardware List'!$A$2:$H$16,2,FALSE))</f>
        <v>Nickel line 24 snaps</v>
      </c>
      <c r="O5" s="71">
        <v>1</v>
      </c>
      <c r="P5" s="100">
        <f>IF(ISNA(VLOOKUP(M5,'Hardware List'!$A$2:$H$16,8,FALSE)),"",VLOOKUP(M5,'Hardware List'!$A$2:$H$16,8,FALSE))</f>
        <v>0.066</v>
      </c>
      <c r="Q5" s="88">
        <f>IF(O5="",IF('Product Pricing'!$M5="","","Fill Amount Required"),SUM(P5*O5))</f>
        <v>0.066</v>
      </c>
      <c r="R5" s="16"/>
    </row>
    <row r="6" spans="1:18" ht="27.75" customHeight="1">
      <c r="A6" s="80"/>
      <c r="B6" s="68"/>
      <c r="C6" s="8">
        <f>IF(ISNA(VLOOKUP(B6,'Leather List'!$A$2:$I$18,2,FALSE)),"",VLOOKUP(B6,'Leather List'!$A$2:$I$18,2,FALSE))</f>
      </c>
      <c r="D6" s="89">
        <f>IF(ISNA(VLOOKUP(B6,'Leather List'!$A$2:$I$18,9,FALSE)),"",VLOOKUP(B6,'Leather List'!$A$2:$I$18,9,FALSE))</f>
      </c>
      <c r="E6" s="15"/>
      <c r="F6" s="15"/>
      <c r="G6" s="39"/>
      <c r="H6" s="40"/>
      <c r="I6" s="26">
        <f t="shared" si="0"/>
      </c>
      <c r="J6" s="106">
        <f t="shared" si="1"/>
      </c>
      <c r="K6" s="31">
        <f>IF(H6="","",H6*0.63)</f>
      </c>
      <c r="L6" s="9"/>
      <c r="M6" s="72"/>
      <c r="N6" s="8">
        <f>IF(ISNA(VLOOKUP(M6,'Hardware List'!$A$2:$H$16,2,FALSE)),"",VLOOKUP(M6,'Hardware List'!$A$2:$H$16,2,FALSE))</f>
      </c>
      <c r="O6" s="43"/>
      <c r="P6" s="101">
        <f>IF(ISNA(VLOOKUP(M6,'Hardware List'!$A$2:$H$16,8,FALSE)),"",VLOOKUP(M6,'Hardware List'!$A$2:$H$16,8,FALSE))</f>
      </c>
      <c r="Q6" s="89">
        <f>IF(O6="",IF('Product Pricing'!$M6="","","Fill Amount Required"),SUM(P6*O6))</f>
      </c>
      <c r="R6" s="16"/>
    </row>
    <row r="7" spans="1:18" ht="34.5" customHeight="1">
      <c r="A7" s="80"/>
      <c r="B7" s="68"/>
      <c r="C7" s="8">
        <f>IF(ISNA(VLOOKUP(B7,'Leather List'!$A$2:$I$18,2,FALSE)),"",VLOOKUP(B7,'Leather List'!$A$2:$I$18,2,FALSE))</f>
      </c>
      <c r="D7" s="89">
        <f>IF(ISNA(VLOOKUP(B7,'Leather List'!$A$2:$I$18,9,FALSE)),"",VLOOKUP(B7,'Leather List'!$A$2:$I$18,9,FALSE))</f>
      </c>
      <c r="E7" s="15"/>
      <c r="F7" s="15"/>
      <c r="G7" s="39"/>
      <c r="H7" s="40"/>
      <c r="I7" s="26">
        <f t="shared" si="0"/>
      </c>
      <c r="J7" s="106">
        <f t="shared" si="1"/>
      </c>
      <c r="K7" s="31">
        <f>IF(H7="","",H7*0.63)</f>
      </c>
      <c r="L7" s="9"/>
      <c r="M7" s="72"/>
      <c r="N7" s="8">
        <f>IF(ISNA(VLOOKUP(M7,'Hardware List'!$A$2:$H$16,2,FALSE)),"",VLOOKUP(M7,'Hardware List'!$A$2:$H$16,2,FALSE))</f>
      </c>
      <c r="O7" s="43"/>
      <c r="P7" s="101">
        <f>IF(ISNA(VLOOKUP(M7,'Hardware List'!$A$2:$H$16,8,FALSE)),"",VLOOKUP(M7,'Hardware List'!$A$2:$H$16,8,FALSE))</f>
      </c>
      <c r="Q7" s="89">
        <f>IF(O7="",IF('Product Pricing'!$M7="","","Fill Amount Required"),SUM(P7*O7))</f>
      </c>
      <c r="R7" s="16"/>
    </row>
    <row r="8" spans="1:18" ht="34.5" customHeight="1">
      <c r="A8" s="80"/>
      <c r="B8" s="68"/>
      <c r="C8" s="8">
        <f>IF(ISNA(VLOOKUP(B8,'Leather List'!$A$2:$I$18,2,FALSE)),"",VLOOKUP(B8,'Leather List'!$A$2:$I$18,2,FALSE))</f>
      </c>
      <c r="D8" s="89">
        <f>IF(ISNA(VLOOKUP(B8,'Leather List'!$A$2:$I$18,9,FALSE)),"",VLOOKUP(B8,'Leather List'!$A$2:$I$18,9,FALSE))</f>
      </c>
      <c r="E8" s="15"/>
      <c r="F8" s="15"/>
      <c r="G8" s="39"/>
      <c r="H8" s="40"/>
      <c r="I8" s="26">
        <f t="shared" si="0"/>
      </c>
      <c r="J8" s="106">
        <f t="shared" si="1"/>
      </c>
      <c r="K8" s="31">
        <f>IF(H9="","",H9*0.63)</f>
      </c>
      <c r="L8" s="9"/>
      <c r="M8" s="72"/>
      <c r="N8" s="8">
        <f>IF(ISNA(VLOOKUP(M8,'Hardware List'!$A$2:$H$16,2,FALSE)),"",VLOOKUP(M8,'Hardware List'!$A$2:$H$16,2,FALSE))</f>
      </c>
      <c r="O8" s="43"/>
      <c r="P8" s="101">
        <f>IF(ISNA(VLOOKUP(M8,'Hardware List'!$A$2:$H$16,8,FALSE)),"",VLOOKUP(M8,'Hardware List'!$A$2:$H$16,8,FALSE))</f>
      </c>
      <c r="Q8" s="89">
        <f>IF(O8="",IF('Product Pricing'!$M8="","","Fill Amount Required"),SUM(P8*O8))</f>
      </c>
      <c r="R8" s="16"/>
    </row>
    <row r="9" spans="1:18" ht="34.5" customHeight="1">
      <c r="A9" s="80"/>
      <c r="B9" s="68"/>
      <c r="C9" s="8">
        <f>IF(ISNA(VLOOKUP(B9,'Leather List'!$A$2:$I$18,2,FALSE)),"",VLOOKUP(B9,'Leather List'!$A$2:$I$18,2,FALSE))</f>
      </c>
      <c r="D9" s="89">
        <f>IF(ISNA(VLOOKUP(B9,'Leather List'!$A$2:$I$18,9,FALSE)),"",VLOOKUP(B9,'Leather List'!$A$2:$I$18,9,FALSE))</f>
      </c>
      <c r="E9" s="15"/>
      <c r="F9" s="15"/>
      <c r="G9" s="39"/>
      <c r="H9" s="40"/>
      <c r="I9" s="26">
        <f t="shared" si="0"/>
      </c>
      <c r="J9" s="106">
        <f t="shared" si="1"/>
      </c>
      <c r="K9" s="31">
        <f>IF(H10="","",H10*0.63)</f>
      </c>
      <c r="L9" s="9"/>
      <c r="M9" s="72"/>
      <c r="N9" s="8">
        <f>IF(ISNA(VLOOKUP(M9,'Hardware List'!$A$2:$H$16,2,FALSE)),"",VLOOKUP(M9,'Hardware List'!$A$2:$H$16,2,FALSE))</f>
      </c>
      <c r="O9" s="43"/>
      <c r="P9" s="101">
        <f>IF(ISNA(VLOOKUP(M9,'Hardware List'!$A$2:$H$16,8,FALSE)),"",VLOOKUP(M9,'Hardware List'!$A$2:$H$16,8,FALSE))</f>
      </c>
      <c r="Q9" s="89">
        <f>IF(O9="",IF('Product Pricing'!$M9="","","Fill Amount Required"),SUM(P9*O9))</f>
      </c>
      <c r="R9" s="16"/>
    </row>
    <row r="10" spans="1:18" ht="34.5" customHeight="1" thickBot="1">
      <c r="A10" s="80"/>
      <c r="B10" s="69"/>
      <c r="C10" s="70">
        <f>IF(ISNA(VLOOKUP(B10,'Leather List'!$A$2:$I$18,2,FALSE)),"",VLOOKUP(B10,'Leather List'!$A$2:$I$18,2,FALSE))</f>
      </c>
      <c r="D10" s="90">
        <f>IF(ISNA(VLOOKUP(B10,'Leather List'!$A$2:$I$18,9,FALSE)),"",VLOOKUP(B10,'Leather List'!$A$2:$I$18,9,FALSE))</f>
      </c>
      <c r="E10" s="15"/>
      <c r="F10" s="15"/>
      <c r="G10" s="41"/>
      <c r="H10" s="42"/>
      <c r="I10" s="27">
        <f t="shared" si="0"/>
      </c>
      <c r="J10" s="107">
        <f t="shared" si="1"/>
      </c>
      <c r="K10" s="32">
        <f>IF(H10="","",H10*0.63)</f>
      </c>
      <c r="L10" s="9"/>
      <c r="M10" s="73"/>
      <c r="N10" s="70">
        <f>IF(ISNA(VLOOKUP(M10,'Hardware List'!$A$2:$H$16,2,FALSE)),"",VLOOKUP(M10,'Hardware List'!$A$2:$H$16,2,FALSE))</f>
      </c>
      <c r="O10" s="74"/>
      <c r="P10" s="102">
        <f>IF(ISNA(VLOOKUP(M10,'Hardware List'!$A$2:$H$16,8,FALSE)),"",VLOOKUP(M10,'Hardware List'!$A$2:$H$16,8,FALSE))</f>
      </c>
      <c r="Q10" s="90">
        <f>IF(O10="",IF('Product Pricing'!$M10="","","Fill Amount Required"),SUM(P10*O10))</f>
      </c>
      <c r="R10" s="16"/>
    </row>
    <row r="11" spans="1:18" ht="24.75" customHeight="1" thickBot="1">
      <c r="A11" s="80"/>
      <c r="B11" s="9"/>
      <c r="C11" s="9"/>
      <c r="D11" s="15"/>
      <c r="E11" s="16"/>
      <c r="F11" s="16"/>
      <c r="G11" s="16"/>
      <c r="H11" s="9"/>
      <c r="I11" s="9"/>
      <c r="J11" s="15"/>
      <c r="K11" s="9"/>
      <c r="L11" s="9"/>
      <c r="M11" s="16"/>
      <c r="R11" s="16"/>
    </row>
    <row r="12" spans="1:18" ht="39" thickBot="1">
      <c r="A12" s="80"/>
      <c r="B12" s="80"/>
      <c r="C12" s="4" t="s">
        <v>10</v>
      </c>
      <c r="D12" s="80"/>
      <c r="E12" s="16"/>
      <c r="F12" s="16"/>
      <c r="G12" s="46" t="s">
        <v>49</v>
      </c>
      <c r="H12" s="58" t="s">
        <v>15</v>
      </c>
      <c r="I12" s="59" t="s">
        <v>50</v>
      </c>
      <c r="J12" s="60" t="s">
        <v>53</v>
      </c>
      <c r="K12" s="9"/>
      <c r="L12" s="9"/>
      <c r="M12" s="33" t="s">
        <v>45</v>
      </c>
      <c r="N12" s="76">
        <v>18</v>
      </c>
      <c r="P12" s="53" t="s">
        <v>57</v>
      </c>
      <c r="R12" s="16"/>
    </row>
    <row r="13" spans="1:18" ht="26.25" thickBot="1">
      <c r="A13" s="80"/>
      <c r="B13" s="5" t="s">
        <v>37</v>
      </c>
      <c r="C13" s="6" t="s">
        <v>11</v>
      </c>
      <c r="D13" s="7" t="s">
        <v>8</v>
      </c>
      <c r="E13" s="16"/>
      <c r="F13" s="16"/>
      <c r="G13" s="62" t="s">
        <v>63</v>
      </c>
      <c r="H13" s="63" t="str">
        <f>IF(ISNA(VLOOKUP(G13,'Thread List'!$A$2:$I$16,2,FALSE)),"",VLOOKUP(G13,'Thread List'!$A$2:$I$16,2,FALSE))</f>
        <v>.6mm</v>
      </c>
      <c r="I13" s="63" t="str">
        <f>IF(ISNA(VLOOKUP(G13,'Thread List'!$A$2:$I$16,3,FALSE)),"",VLOOKUP(G13,'Thread List'!$A$2:$I$16,3,FALSE))</f>
        <v>yellow</v>
      </c>
      <c r="J13" s="103">
        <f>IF(ISNA(VLOOKUP(G13,'Thread List'!$A$2:$I$16,9,FALSE)),"",VLOOKUP(G13,'Thread List'!$A$2:$I$16,9,FALSE))</f>
        <v>0.0912</v>
      </c>
      <c r="K13" s="9"/>
      <c r="L13" s="9"/>
      <c r="M13" s="33" t="s">
        <v>66</v>
      </c>
      <c r="N13" s="77">
        <v>3</v>
      </c>
      <c r="P13" s="50" t="s">
        <v>58</v>
      </c>
      <c r="R13" s="16"/>
    </row>
    <row r="14" spans="1:18" ht="30.75" thickBot="1">
      <c r="A14" s="80"/>
      <c r="B14" s="34">
        <v>3</v>
      </c>
      <c r="C14" s="35">
        <v>15</v>
      </c>
      <c r="D14" s="91">
        <f>C14*B14</f>
        <v>45</v>
      </c>
      <c r="E14" s="16"/>
      <c r="F14" s="16"/>
      <c r="G14" s="64"/>
      <c r="H14" s="65">
        <f>IF(ISNA(VLOOKUP(G14,'Thread List'!$A$2:$I$16,2,FALSE)),"",VLOOKUP(G14,'Thread List'!$A$2:$I$16,2,FALSE))</f>
      </c>
      <c r="I14" s="65">
        <f>IF(ISNA(VLOOKUP(G14,'Thread List'!$A$2:$I$16,3,FALSE)),"",VLOOKUP(G14,'Thread List'!$A$2:$I$16,3,FALSE))</f>
      </c>
      <c r="J14" s="104">
        <f>IF(ISNA(VLOOKUP(G14,'Thread List'!$A$2:$I$16,8,FALSE)),"",VLOOKUP(G14,'Thread List'!$A$2:$I$16,8,FALSE))</f>
      </c>
      <c r="K14" s="9"/>
      <c r="L14" s="9"/>
      <c r="M14" s="33" t="s">
        <v>46</v>
      </c>
      <c r="N14" s="77">
        <v>3.85</v>
      </c>
      <c r="P14" s="51" t="s">
        <v>59</v>
      </c>
      <c r="R14" s="16"/>
    </row>
    <row r="15" spans="1:18" ht="39" thickBot="1">
      <c r="A15" s="16"/>
      <c r="B15" s="80"/>
      <c r="C15" s="4" t="s">
        <v>72</v>
      </c>
      <c r="D15" s="80"/>
      <c r="E15" s="16"/>
      <c r="F15" s="16"/>
      <c r="G15" s="16"/>
      <c r="H15" s="16"/>
      <c r="I15" s="16"/>
      <c r="J15" s="16"/>
      <c r="K15" s="16"/>
      <c r="L15" s="16"/>
      <c r="M15" s="33" t="s">
        <v>47</v>
      </c>
      <c r="N15" s="78">
        <v>35</v>
      </c>
      <c r="P15" s="52" t="s">
        <v>60</v>
      </c>
      <c r="R15" s="16"/>
    </row>
    <row r="16" spans="1:18" ht="26.25" thickBot="1">
      <c r="A16" s="80"/>
      <c r="B16" s="5" t="s">
        <v>37</v>
      </c>
      <c r="C16" s="6" t="s">
        <v>11</v>
      </c>
      <c r="D16" s="7" t="s">
        <v>8</v>
      </c>
      <c r="E16" s="16"/>
      <c r="F16" s="16"/>
      <c r="G16" s="11" t="s">
        <v>6</v>
      </c>
      <c r="H16" s="92">
        <f>SUMIF(J5:J10,"&lt;&gt;#VALUE!")</f>
        <v>9.451530612244897</v>
      </c>
      <c r="I16" s="16"/>
      <c r="J16" s="16"/>
      <c r="K16" s="16"/>
      <c r="L16" s="16"/>
      <c r="M16" s="33" t="s">
        <v>48</v>
      </c>
      <c r="N16" s="75">
        <f>SUM(_xlfn.IFERROR((((((N15*10)/N14)*N13*2)+(N15*20))/10+N12),0))</f>
        <v>142.54545454545456</v>
      </c>
      <c r="R16" s="16"/>
    </row>
    <row r="17" spans="1:18" ht="25.5" customHeight="1" thickBot="1">
      <c r="A17" s="80"/>
      <c r="B17" s="34"/>
      <c r="C17" s="35"/>
      <c r="D17" s="91">
        <f>C17*B17</f>
        <v>0</v>
      </c>
      <c r="E17" s="16"/>
      <c r="F17" s="16"/>
      <c r="G17" s="12" t="s">
        <v>7</v>
      </c>
      <c r="H17" s="93">
        <f>SUMIF(Q5:Q10,"&lt;&gt;#VALUE!")</f>
        <v>0.066</v>
      </c>
      <c r="I17" s="16"/>
      <c r="J17" s="16"/>
      <c r="K17" s="16"/>
      <c r="L17" s="16"/>
      <c r="M17" s="16"/>
      <c r="N17" s="81">
        <f>(J13*N16)/100</f>
        <v>0.13000145454545456</v>
      </c>
      <c r="R17" s="16"/>
    </row>
    <row r="18" spans="1:18" ht="25.5" customHeight="1" thickBot="1">
      <c r="A18" s="80"/>
      <c r="B18" s="80"/>
      <c r="C18" s="4" t="s">
        <v>41</v>
      </c>
      <c r="D18" s="80"/>
      <c r="E18" s="16"/>
      <c r="F18" s="16"/>
      <c r="G18" s="12" t="s">
        <v>8</v>
      </c>
      <c r="H18" s="94">
        <f>D14</f>
        <v>45</v>
      </c>
      <c r="I18" s="10" t="s">
        <v>55</v>
      </c>
      <c r="J18" s="36">
        <v>0.15</v>
      </c>
      <c r="K18" s="16"/>
      <c r="L18" s="16"/>
      <c r="M18" s="16"/>
      <c r="R18" s="16"/>
    </row>
    <row r="19" spans="1:18" ht="25.5" customHeight="1" thickBot="1">
      <c r="A19" s="80"/>
      <c r="B19" s="5" t="s">
        <v>42</v>
      </c>
      <c r="C19" s="6" t="s">
        <v>43</v>
      </c>
      <c r="D19" s="7" t="s">
        <v>44</v>
      </c>
      <c r="E19" s="16"/>
      <c r="F19" s="16"/>
      <c r="G19" s="12" t="s">
        <v>73</v>
      </c>
      <c r="H19" s="94">
        <f>D17</f>
        <v>0</v>
      </c>
      <c r="I19" s="10" t="s">
        <v>41</v>
      </c>
      <c r="J19" s="97">
        <f>D20</f>
        <v>6.5</v>
      </c>
      <c r="K19" s="16"/>
      <c r="L19" s="16"/>
      <c r="M19" s="16"/>
      <c r="R19" s="16"/>
    </row>
    <row r="20" spans="1:18" ht="24" customHeight="1" thickBot="1">
      <c r="A20" s="80"/>
      <c r="B20" s="34">
        <v>4</v>
      </c>
      <c r="C20" s="35">
        <v>2.5</v>
      </c>
      <c r="D20" s="91">
        <f>C20+B20</f>
        <v>6.5</v>
      </c>
      <c r="E20" s="16"/>
      <c r="F20" s="16"/>
      <c r="G20" s="44" t="s">
        <v>54</v>
      </c>
      <c r="H20" s="95">
        <f>SUMIF(N17,"&lt;&gt;#Value!")</f>
        <v>0.13000145454545456</v>
      </c>
      <c r="I20" s="45" t="s">
        <v>56</v>
      </c>
      <c r="J20" s="98">
        <v>0.66</v>
      </c>
      <c r="K20" s="16"/>
      <c r="L20" s="16"/>
      <c r="M20" s="16"/>
      <c r="R20" s="16"/>
    </row>
    <row r="21" spans="1:18" ht="24" customHeight="1" thickBot="1">
      <c r="A21" s="16"/>
      <c r="B21" s="16"/>
      <c r="C21" s="16"/>
      <c r="D21" s="80"/>
      <c r="E21" s="80"/>
      <c r="F21" s="16"/>
      <c r="G21" s="13" t="s">
        <v>9</v>
      </c>
      <c r="H21" s="96">
        <f>SUMIF(H16:H20,"&lt;&gt;#VALUE!")</f>
        <v>54.647532066790355</v>
      </c>
      <c r="I21" s="14" t="s">
        <v>38</v>
      </c>
      <c r="J21" s="99">
        <f>(H21*J18)+H21+J19+J20</f>
        <v>70.00466187680891</v>
      </c>
      <c r="K21" s="80"/>
      <c r="L21" s="16"/>
      <c r="M21" s="16"/>
      <c r="R21" s="16"/>
    </row>
    <row r="22" spans="4:11" s="16" customFormat="1" ht="24" customHeight="1">
      <c r="D22" s="80"/>
      <c r="E22" s="80"/>
      <c r="J22" s="80"/>
      <c r="K22" s="80"/>
    </row>
    <row r="23" spans="1:12" s="16" customFormat="1" ht="24" customHeight="1" hidden="1">
      <c r="A23" s="80"/>
      <c r="K23" s="80"/>
      <c r="L23" s="80"/>
    </row>
    <row r="24" spans="1:12" s="16" customFormat="1" ht="24" customHeight="1" hidden="1">
      <c r="A24" s="80"/>
      <c r="K24" s="80"/>
      <c r="L24" s="80"/>
    </row>
    <row r="25" spans="1:12" s="16" customFormat="1" ht="24" customHeight="1" hidden="1">
      <c r="A25" s="80"/>
      <c r="E25" s="80"/>
      <c r="F25" s="80"/>
      <c r="K25" s="80"/>
      <c r="L25" s="80"/>
    </row>
    <row r="26" spans="1:12" s="16" customFormat="1" ht="24" customHeight="1" hidden="1">
      <c r="A26" s="80"/>
      <c r="B26" s="80"/>
      <c r="C26" s="80"/>
      <c r="D26" s="80"/>
      <c r="E26" s="80"/>
      <c r="F26" s="80"/>
      <c r="K26" s="80"/>
      <c r="L26" s="80"/>
    </row>
    <row r="27" spans="1:12" s="16" customFormat="1" ht="24" customHeight="1" hidden="1">
      <c r="A27" s="80"/>
      <c r="B27" s="9"/>
      <c r="C27" s="9"/>
      <c r="D27" s="80"/>
      <c r="E27" s="80"/>
      <c r="F27" s="80"/>
      <c r="I27" s="80"/>
      <c r="J27" s="80"/>
      <c r="K27" s="80"/>
      <c r="L27" s="80"/>
    </row>
    <row r="28" spans="1:12" ht="24" customHeight="1" hidden="1">
      <c r="A28" s="82"/>
      <c r="B28" s="3"/>
      <c r="C28" s="3"/>
      <c r="D28" s="82"/>
      <c r="E28" s="82"/>
      <c r="F28" s="82"/>
      <c r="G28" s="80"/>
      <c r="H28" s="80"/>
      <c r="I28" s="82"/>
      <c r="J28" s="82"/>
      <c r="K28" s="80"/>
      <c r="L28" s="80"/>
    </row>
    <row r="29" spans="1:12" ht="24" customHeight="1" hidden="1">
      <c r="A29" s="82"/>
      <c r="B29" s="3"/>
      <c r="C29" s="3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24" customHeight="1" hidden="1">
      <c r="A30" s="82"/>
      <c r="B30" s="82"/>
      <c r="C30" s="82"/>
      <c r="D30" s="82"/>
      <c r="G30" s="82"/>
      <c r="H30" s="82"/>
      <c r="I30" s="82"/>
      <c r="J30" s="82"/>
      <c r="K30" s="82"/>
      <c r="L30" s="82"/>
    </row>
    <row r="31" spans="1:12" ht="24" customHeight="1" hidden="1">
      <c r="A31" s="82"/>
      <c r="G31" s="82"/>
      <c r="H31" s="82"/>
      <c r="I31" s="82"/>
      <c r="J31" s="82"/>
      <c r="K31" s="82"/>
      <c r="L31" s="82"/>
    </row>
    <row r="32" spans="1:12" ht="24" customHeight="1" hidden="1">
      <c r="A32" s="82"/>
      <c r="G32" s="82"/>
      <c r="H32" s="82"/>
      <c r="I32" s="82"/>
      <c r="J32" s="82"/>
      <c r="K32" s="82"/>
      <c r="L32" s="82"/>
    </row>
    <row r="33" spans="1:12" ht="24" customHeight="1" hidden="1">
      <c r="A33" s="82"/>
      <c r="E33" s="82"/>
      <c r="F33" s="82"/>
      <c r="G33" s="82"/>
      <c r="H33" s="82"/>
      <c r="I33" s="82"/>
      <c r="J33" s="82"/>
      <c r="K33" s="82"/>
      <c r="L33" s="82"/>
    </row>
    <row r="34" spans="2:12" ht="24" customHeight="1" hidden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8" ht="24" customHeight="1" hidden="1">
      <c r="B35" s="82"/>
      <c r="C35" s="82"/>
      <c r="D35" s="82"/>
      <c r="G35" s="82"/>
      <c r="H35" s="82"/>
    </row>
    <row r="36" ht="24" customHeight="1" hidden="1">
      <c r="G36" s="82"/>
    </row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0" customHeight="1" hidden="1"/>
    <row r="44" ht="0" customHeight="1" hidden="1"/>
    <row r="45" ht="0" customHeight="1" hidden="1"/>
    <row r="46" ht="0" customHeight="1" hidden="1"/>
    <row r="47" ht="0" customHeight="1" hidden="1"/>
    <row r="48" ht="0" customHeight="1" hidden="1"/>
    <row r="49" ht="0" customHeight="1" hidden="1"/>
  </sheetData>
  <sheetProtection sheet="1" selectLockedCells="1"/>
  <mergeCells count="1">
    <mergeCell ref="C2:D2"/>
  </mergeCells>
  <printOptions/>
  <pageMargins left="0.7" right="0.7" top="0.75" bottom="0.75" header="0.3" footer="0.3"/>
  <pageSetup orientation="portrait" paperSize="9" r:id="rId6"/>
  <drawing r:id="rId5"/>
  <legacyDrawing r:id="rId1"/>
  <tableParts>
    <tablePart r:id="rId4"/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zoomScale="115" zoomScaleNormal="115" zoomScalePageLayoutView="0" workbookViewId="0" topLeftCell="A1">
      <selection activeCell="F5" sqref="F5"/>
    </sheetView>
  </sheetViews>
  <sheetFormatPr defaultColWidth="0" defaultRowHeight="15" zeroHeight="1"/>
  <cols>
    <col min="1" max="1" width="42.140625" style="0" customWidth="1"/>
    <col min="2" max="2" width="39.421875" style="0" customWidth="1"/>
    <col min="3" max="5" width="17.57421875" style="0" customWidth="1"/>
    <col min="6" max="6" width="19.7109375" style="0" customWidth="1"/>
    <col min="7" max="7" width="8.421875" style="0" customWidth="1"/>
    <col min="8" max="8" width="11.57421875" style="0" bestFit="1" customWidth="1"/>
    <col min="9" max="9" width="17.57421875" style="0" customWidth="1"/>
    <col min="10" max="16384" width="17.57421875" style="0" hidden="1" customWidth="1"/>
  </cols>
  <sheetData>
    <row r="1" spans="1:9" ht="36.75" customHeight="1">
      <c r="A1" s="83" t="s">
        <v>1</v>
      </c>
      <c r="B1" s="84" t="s">
        <v>15</v>
      </c>
      <c r="C1" s="84" t="s">
        <v>17</v>
      </c>
      <c r="D1" s="84" t="s">
        <v>12</v>
      </c>
      <c r="E1" s="84" t="s">
        <v>69</v>
      </c>
      <c r="F1" s="84" t="s">
        <v>2</v>
      </c>
      <c r="G1" s="84" t="s">
        <v>70</v>
      </c>
      <c r="H1" s="84" t="s">
        <v>71</v>
      </c>
      <c r="I1" s="84" t="s">
        <v>13</v>
      </c>
    </row>
    <row r="2" spans="1:9" ht="15">
      <c r="A2" s="47" t="s">
        <v>14</v>
      </c>
      <c r="B2" s="47" t="s">
        <v>16</v>
      </c>
      <c r="C2" s="47" t="s">
        <v>18</v>
      </c>
      <c r="D2" s="47">
        <v>10</v>
      </c>
      <c r="E2" s="47"/>
      <c r="F2" s="108">
        <v>25</v>
      </c>
      <c r="G2" s="86">
        <v>0.1</v>
      </c>
      <c r="H2" s="111">
        <f aca="true" t="shared" si="0" ref="H2:H17">IF(G2&gt;0,F2*(1+G2),F2)</f>
        <v>27.500000000000004</v>
      </c>
      <c r="I2" s="112">
        <f aca="true" t="shared" si="1" ref="I2:I7">IF(D2="","",SUM(H2/D2))</f>
        <v>2.7500000000000004</v>
      </c>
    </row>
    <row r="3" spans="1:9" ht="15">
      <c r="A3" s="47" t="s">
        <v>39</v>
      </c>
      <c r="B3" s="47" t="s">
        <v>40</v>
      </c>
      <c r="C3" s="47" t="s">
        <v>19</v>
      </c>
      <c r="D3" s="47">
        <v>21</v>
      </c>
      <c r="E3" s="47"/>
      <c r="F3" s="108">
        <v>218.87</v>
      </c>
      <c r="G3" s="86">
        <v>0.15</v>
      </c>
      <c r="H3" s="113">
        <f t="shared" si="0"/>
        <v>251.70049999999998</v>
      </c>
      <c r="I3" s="112">
        <f t="shared" si="1"/>
        <v>11.985738095238094</v>
      </c>
    </row>
    <row r="4" spans="1:9" ht="15">
      <c r="A4" s="47" t="s">
        <v>74</v>
      </c>
      <c r="B4" s="47" t="s">
        <v>75</v>
      </c>
      <c r="C4" s="47" t="s">
        <v>19</v>
      </c>
      <c r="D4" s="47">
        <v>19.6</v>
      </c>
      <c r="E4" s="47" t="s">
        <v>76</v>
      </c>
      <c r="F4" s="108">
        <v>123.5</v>
      </c>
      <c r="G4" s="86">
        <v>0.2</v>
      </c>
      <c r="H4" s="113">
        <f t="shared" si="0"/>
        <v>148.2</v>
      </c>
      <c r="I4" s="112">
        <f t="shared" si="1"/>
        <v>7.561224489795917</v>
      </c>
    </row>
    <row r="5" spans="1:9" ht="15">
      <c r="A5" s="47"/>
      <c r="B5" s="47"/>
      <c r="C5" s="47"/>
      <c r="D5" s="47"/>
      <c r="E5" s="47"/>
      <c r="F5" s="108"/>
      <c r="G5" s="86"/>
      <c r="H5" s="113">
        <f t="shared" si="0"/>
        <v>0</v>
      </c>
      <c r="I5" s="112">
        <f t="shared" si="1"/>
      </c>
    </row>
    <row r="6" spans="1:9" ht="15">
      <c r="A6" s="47"/>
      <c r="B6" s="47"/>
      <c r="C6" s="47"/>
      <c r="D6" s="47"/>
      <c r="E6" s="47"/>
      <c r="F6" s="108"/>
      <c r="G6" s="86"/>
      <c r="H6" s="113">
        <f t="shared" si="0"/>
        <v>0</v>
      </c>
      <c r="I6" s="112">
        <f t="shared" si="1"/>
      </c>
    </row>
    <row r="7" spans="1:9" ht="15">
      <c r="A7" s="47"/>
      <c r="B7" s="47"/>
      <c r="C7" s="47"/>
      <c r="D7" s="47"/>
      <c r="E7" s="47"/>
      <c r="F7" s="108"/>
      <c r="G7" s="86"/>
      <c r="H7" s="113">
        <f t="shared" si="0"/>
        <v>0</v>
      </c>
      <c r="I7" s="112">
        <f t="shared" si="1"/>
      </c>
    </row>
    <row r="8" spans="1:9" ht="15">
      <c r="A8" s="48"/>
      <c r="B8" s="48"/>
      <c r="C8" s="48"/>
      <c r="D8" s="48"/>
      <c r="E8" s="48"/>
      <c r="F8" s="109"/>
      <c r="G8" s="86"/>
      <c r="H8" s="113">
        <f t="shared" si="0"/>
        <v>0</v>
      </c>
      <c r="I8" s="112">
        <f aca="true" t="shared" si="2" ref="I8:I14">IF(D8="","",SUM(H8/D8))</f>
      </c>
    </row>
    <row r="9" spans="1:9" ht="15">
      <c r="A9" s="48"/>
      <c r="B9" s="48"/>
      <c r="C9" s="48"/>
      <c r="D9" s="48"/>
      <c r="E9" s="48"/>
      <c r="F9" s="109"/>
      <c r="G9" s="86"/>
      <c r="H9" s="113">
        <f t="shared" si="0"/>
        <v>0</v>
      </c>
      <c r="I9" s="112">
        <f t="shared" si="2"/>
      </c>
    </row>
    <row r="10" spans="1:9" ht="15">
      <c r="A10" s="48"/>
      <c r="B10" s="48"/>
      <c r="C10" s="48"/>
      <c r="D10" s="48"/>
      <c r="E10" s="48"/>
      <c r="F10" s="109"/>
      <c r="G10" s="86"/>
      <c r="H10" s="113">
        <f t="shared" si="0"/>
        <v>0</v>
      </c>
      <c r="I10" s="112">
        <f t="shared" si="2"/>
      </c>
    </row>
    <row r="11" spans="1:9" ht="15">
      <c r="A11" s="56"/>
      <c r="B11" s="56"/>
      <c r="C11" s="56"/>
      <c r="D11" s="56"/>
      <c r="E11" s="56"/>
      <c r="F11" s="110"/>
      <c r="G11" s="87"/>
      <c r="H11" s="111">
        <f t="shared" si="0"/>
        <v>0</v>
      </c>
      <c r="I11" s="114">
        <f t="shared" si="2"/>
      </c>
    </row>
    <row r="12" spans="1:9" ht="15">
      <c r="A12" s="56"/>
      <c r="B12" s="56"/>
      <c r="C12" s="56"/>
      <c r="D12" s="56"/>
      <c r="E12" s="56"/>
      <c r="F12" s="110"/>
      <c r="G12" s="87"/>
      <c r="H12" s="111">
        <f t="shared" si="0"/>
        <v>0</v>
      </c>
      <c r="I12" s="114">
        <f t="shared" si="2"/>
      </c>
    </row>
    <row r="13" spans="1:9" ht="15">
      <c r="A13" s="56"/>
      <c r="B13" s="56"/>
      <c r="C13" s="56"/>
      <c r="D13" s="56"/>
      <c r="E13" s="56"/>
      <c r="F13" s="110"/>
      <c r="G13" s="87"/>
      <c r="H13" s="111">
        <f t="shared" si="0"/>
        <v>0</v>
      </c>
      <c r="I13" s="114">
        <f t="shared" si="2"/>
      </c>
    </row>
    <row r="14" spans="1:9" ht="15">
      <c r="A14" s="56"/>
      <c r="B14" s="56"/>
      <c r="C14" s="56"/>
      <c r="D14" s="56"/>
      <c r="E14" s="56"/>
      <c r="F14" s="110"/>
      <c r="G14" s="87"/>
      <c r="H14" s="111">
        <f t="shared" si="0"/>
        <v>0</v>
      </c>
      <c r="I14" s="114">
        <f t="shared" si="2"/>
      </c>
    </row>
    <row r="15" spans="1:9" ht="15">
      <c r="A15" s="56"/>
      <c r="B15" s="56"/>
      <c r="C15" s="56"/>
      <c r="D15" s="56"/>
      <c r="E15" s="56"/>
      <c r="F15" s="110"/>
      <c r="G15" s="87"/>
      <c r="H15" s="111">
        <f t="shared" si="0"/>
        <v>0</v>
      </c>
      <c r="I15" s="114">
        <f>IF(D15="","",SUM(H15/D15))</f>
      </c>
    </row>
    <row r="16" spans="1:9" ht="15">
      <c r="A16" s="85"/>
      <c r="B16" s="85"/>
      <c r="C16" s="85"/>
      <c r="D16" s="85"/>
      <c r="E16" s="56"/>
      <c r="F16" s="110"/>
      <c r="G16" s="87"/>
      <c r="H16" s="111">
        <f t="shared" si="0"/>
        <v>0</v>
      </c>
      <c r="I16" s="114">
        <f>IF(D16="","",SUM(H16/D16))</f>
      </c>
    </row>
    <row r="17" spans="1:9" ht="15">
      <c r="A17" s="85"/>
      <c r="B17" s="85"/>
      <c r="C17" s="85"/>
      <c r="D17" s="85"/>
      <c r="E17" s="56"/>
      <c r="F17" s="110"/>
      <c r="G17" s="87"/>
      <c r="H17" s="111">
        <f t="shared" si="0"/>
        <v>0</v>
      </c>
      <c r="I17" s="114">
        <f>IF(D17="","",SUM(H17/D17))</f>
      </c>
    </row>
    <row r="18" spans="1:9" ht="15">
      <c r="A18" s="85"/>
      <c r="B18" s="85"/>
      <c r="C18" s="85"/>
      <c r="D18" s="85"/>
      <c r="E18" s="56"/>
      <c r="F18" s="110"/>
      <c r="G18" s="87"/>
      <c r="H18" s="123">
        <f>IF(G18&gt;0,F18*(1+G18),F18)</f>
        <v>0</v>
      </c>
      <c r="I18" s="114">
        <f>IF(D18="","",SUM(H18/D18))</f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sheet="1" objects="1" scenarios="1" selectLockedCells="1"/>
  <dataValidations count="1">
    <dataValidation allowBlank="1" showInputMessage="1" showErrorMessage="1" promptTitle="Leather" sqref="A2:A18"/>
  </dataValidations>
  <printOptions/>
  <pageMargins left="0.7" right="0.7" top="0.75" bottom="0.75" header="0.3" footer="0.3"/>
  <pageSetup orientation="portrait" paperSize="9" r:id="rId3"/>
  <legacy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zoomScale="115" zoomScaleNormal="115" zoomScalePageLayoutView="0" workbookViewId="0" topLeftCell="A1">
      <selection activeCell="F5" sqref="F5"/>
    </sheetView>
  </sheetViews>
  <sheetFormatPr defaultColWidth="0" defaultRowHeight="15" zeroHeight="1"/>
  <cols>
    <col min="1" max="1" width="36.421875" style="0" customWidth="1"/>
    <col min="2" max="2" width="25.8515625" style="0" customWidth="1"/>
    <col min="3" max="4" width="17.57421875" style="0" customWidth="1"/>
    <col min="5" max="5" width="19.7109375" style="0" customWidth="1"/>
    <col min="6" max="6" width="11.28125" style="0" customWidth="1"/>
    <col min="7" max="7" width="12.28125" style="0" customWidth="1"/>
    <col min="8" max="8" width="17.57421875" style="0" customWidth="1"/>
    <col min="9" max="16384" width="17.57421875" style="0" hidden="1" customWidth="1"/>
  </cols>
  <sheetData>
    <row r="1" spans="1:8" ht="36.75" customHeight="1">
      <c r="A1" s="2" t="s">
        <v>1</v>
      </c>
      <c r="B1" s="1" t="s">
        <v>15</v>
      </c>
      <c r="C1" s="1" t="s">
        <v>24</v>
      </c>
      <c r="D1" s="1" t="s">
        <v>69</v>
      </c>
      <c r="E1" s="1" t="s">
        <v>2</v>
      </c>
      <c r="F1" s="1" t="s">
        <v>70</v>
      </c>
      <c r="G1" s="1" t="s">
        <v>71</v>
      </c>
      <c r="H1" s="1" t="s">
        <v>25</v>
      </c>
    </row>
    <row r="2" spans="1:8" ht="18.75" customHeight="1">
      <c r="A2" s="47" t="s">
        <v>22</v>
      </c>
      <c r="B2" s="47" t="s">
        <v>23</v>
      </c>
      <c r="C2" s="47">
        <v>10</v>
      </c>
      <c r="D2" s="47"/>
      <c r="E2" s="108">
        <v>10</v>
      </c>
      <c r="F2" s="86">
        <v>0.1</v>
      </c>
      <c r="G2" s="111">
        <f aca="true" t="shared" si="0" ref="G2:G15">IF(F2&gt;0,E2*(1+F2),E2)</f>
        <v>11</v>
      </c>
      <c r="H2" s="117">
        <f>IF(E2="","",SUM(G2/C2))</f>
        <v>1.1</v>
      </c>
    </row>
    <row r="3" spans="1:8" ht="17.25" customHeight="1">
      <c r="A3" s="47" t="s">
        <v>26</v>
      </c>
      <c r="B3" s="47" t="s">
        <v>27</v>
      </c>
      <c r="C3" s="47">
        <v>10</v>
      </c>
      <c r="D3" s="47"/>
      <c r="E3" s="108">
        <v>15</v>
      </c>
      <c r="F3" s="86">
        <v>0.1</v>
      </c>
      <c r="G3" s="118">
        <f t="shared" si="0"/>
        <v>16.5</v>
      </c>
      <c r="H3" s="117">
        <f>IF(E3="","",SUM(G3/C3))</f>
        <v>1.65</v>
      </c>
    </row>
    <row r="4" spans="1:8" ht="17.25" customHeight="1">
      <c r="A4" s="47" t="s">
        <v>61</v>
      </c>
      <c r="B4" s="47" t="s">
        <v>62</v>
      </c>
      <c r="C4" s="47">
        <v>100</v>
      </c>
      <c r="D4" s="47"/>
      <c r="E4" s="108">
        <v>6</v>
      </c>
      <c r="F4" s="86">
        <v>0.1</v>
      </c>
      <c r="G4" s="118">
        <f t="shared" si="0"/>
        <v>6.6000000000000005</v>
      </c>
      <c r="H4" s="117">
        <f>IF(E4="","",SUM(G4/C4))</f>
        <v>0.066</v>
      </c>
    </row>
    <row r="5" spans="1:8" ht="15">
      <c r="A5" s="49" t="s">
        <v>77</v>
      </c>
      <c r="B5" s="49" t="s">
        <v>78</v>
      </c>
      <c r="C5" s="49">
        <v>100</v>
      </c>
      <c r="D5" s="49" t="s">
        <v>79</v>
      </c>
      <c r="E5" s="115">
        <v>6</v>
      </c>
      <c r="F5" s="86">
        <v>0.2</v>
      </c>
      <c r="G5" s="118">
        <f t="shared" si="0"/>
        <v>7.199999999999999</v>
      </c>
      <c r="H5" s="117">
        <f aca="true" t="shared" si="1" ref="H5:H10">IF(E5="","",SUM(G5/C5))</f>
        <v>0.072</v>
      </c>
    </row>
    <row r="6" spans="1:8" ht="15">
      <c r="A6" s="49"/>
      <c r="B6" s="49"/>
      <c r="C6" s="49"/>
      <c r="D6" s="49"/>
      <c r="E6" s="115"/>
      <c r="F6" s="86"/>
      <c r="G6" s="118">
        <f t="shared" si="0"/>
        <v>0</v>
      </c>
      <c r="H6" s="117">
        <f t="shared" si="1"/>
      </c>
    </row>
    <row r="7" spans="1:8" ht="15">
      <c r="A7" s="49"/>
      <c r="B7" s="49"/>
      <c r="C7" s="49"/>
      <c r="D7" s="49"/>
      <c r="E7" s="115"/>
      <c r="F7" s="86"/>
      <c r="G7" s="118">
        <f t="shared" si="0"/>
        <v>0</v>
      </c>
      <c r="H7" s="117">
        <f t="shared" si="1"/>
      </c>
    </row>
    <row r="8" spans="1:8" ht="15">
      <c r="A8" s="49"/>
      <c r="B8" s="49"/>
      <c r="C8" s="49"/>
      <c r="D8" s="49"/>
      <c r="E8" s="115"/>
      <c r="F8" s="86"/>
      <c r="G8" s="118">
        <f t="shared" si="0"/>
        <v>0</v>
      </c>
      <c r="H8" s="117">
        <f t="shared" si="1"/>
      </c>
    </row>
    <row r="9" spans="1:8" ht="15">
      <c r="A9" s="49"/>
      <c r="B9" s="49"/>
      <c r="C9" s="49"/>
      <c r="D9" s="49"/>
      <c r="E9" s="115"/>
      <c r="F9" s="86"/>
      <c r="G9" s="118">
        <f t="shared" si="0"/>
        <v>0</v>
      </c>
      <c r="H9" s="117">
        <f t="shared" si="1"/>
      </c>
    </row>
    <row r="10" spans="1:8" ht="15">
      <c r="A10" s="49"/>
      <c r="B10" s="49"/>
      <c r="C10" s="49"/>
      <c r="D10" s="49"/>
      <c r="E10" s="115"/>
      <c r="F10" s="86"/>
      <c r="G10" s="118">
        <f t="shared" si="0"/>
        <v>0</v>
      </c>
      <c r="H10" s="117">
        <f t="shared" si="1"/>
      </c>
    </row>
    <row r="11" spans="1:8" ht="15">
      <c r="A11" s="57"/>
      <c r="B11" s="57"/>
      <c r="C11" s="57"/>
      <c r="D11" s="57"/>
      <c r="E11" s="116"/>
      <c r="F11" s="87"/>
      <c r="G11" s="119">
        <f t="shared" si="0"/>
        <v>0</v>
      </c>
      <c r="H11" s="120">
        <f aca="true" t="shared" si="2" ref="H11:H16">IF(E11="","",SUM(G11/C11))</f>
      </c>
    </row>
    <row r="12" spans="1:8" ht="15">
      <c r="A12" s="57"/>
      <c r="B12" s="57"/>
      <c r="C12" s="57"/>
      <c r="D12" s="57"/>
      <c r="E12" s="116"/>
      <c r="F12" s="87"/>
      <c r="G12" s="119">
        <f t="shared" si="0"/>
        <v>0</v>
      </c>
      <c r="H12" s="120">
        <f t="shared" si="2"/>
      </c>
    </row>
    <row r="13" spans="1:8" ht="15">
      <c r="A13" s="57"/>
      <c r="B13" s="57"/>
      <c r="C13" s="57"/>
      <c r="D13" s="57"/>
      <c r="E13" s="116"/>
      <c r="F13" s="87"/>
      <c r="G13" s="119">
        <f t="shared" si="0"/>
        <v>0</v>
      </c>
      <c r="H13" s="120">
        <f t="shared" si="2"/>
      </c>
    </row>
    <row r="14" spans="1:8" ht="15">
      <c r="A14" s="57"/>
      <c r="B14" s="57"/>
      <c r="C14" s="57"/>
      <c r="D14" s="57"/>
      <c r="E14" s="116"/>
      <c r="F14" s="87"/>
      <c r="G14" s="119">
        <f t="shared" si="0"/>
        <v>0</v>
      </c>
      <c r="H14" s="120">
        <f t="shared" si="2"/>
      </c>
    </row>
    <row r="15" spans="1:8" ht="15">
      <c r="A15" s="57"/>
      <c r="B15" s="57"/>
      <c r="C15" s="57"/>
      <c r="D15" s="57"/>
      <c r="E15" s="116"/>
      <c r="F15" s="87"/>
      <c r="G15" s="119">
        <f t="shared" si="0"/>
        <v>0</v>
      </c>
      <c r="H15" s="120">
        <f t="shared" si="2"/>
      </c>
    </row>
    <row r="16" spans="1:8" ht="15">
      <c r="A16" s="121"/>
      <c r="B16" s="121"/>
      <c r="C16" s="121"/>
      <c r="D16" s="57"/>
      <c r="E16" s="116"/>
      <c r="F16" s="87"/>
      <c r="G16" s="122">
        <f>IF(F16&gt;0,E16*(1+F16),E16)</f>
        <v>0</v>
      </c>
      <c r="H16" s="120">
        <f t="shared" si="2"/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sheet="1" objects="1" scenarios="1" selectLockedCells="1"/>
  <dataValidations count="1">
    <dataValidation allowBlank="1" showInputMessage="1" showErrorMessage="1" promptTitle="Leather" sqref="A2:A16"/>
  </dataValidations>
  <printOptions/>
  <pageMargins left="0.7" right="0.7" top="0.75" bottom="0.75" header="0.3" footer="0.3"/>
  <pageSetup orientation="portrait" paperSize="9"/>
  <legacyDrawing r:id="rId1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53"/>
  <sheetViews>
    <sheetView zoomScale="115" zoomScaleNormal="115" zoomScalePageLayoutView="0" workbookViewId="0" topLeftCell="A1">
      <selection activeCell="G4" sqref="G4"/>
    </sheetView>
  </sheetViews>
  <sheetFormatPr defaultColWidth="0" defaultRowHeight="15" zeroHeight="1"/>
  <cols>
    <col min="1" max="1" width="42.140625" style="0" customWidth="1"/>
    <col min="2" max="2" width="39.421875" style="0" customWidth="1"/>
    <col min="3" max="5" width="17.57421875" style="0" customWidth="1"/>
    <col min="6" max="6" width="19.7109375" style="0" customWidth="1"/>
    <col min="7" max="7" width="8.421875" style="0" customWidth="1"/>
    <col min="8" max="8" width="11.140625" style="0" bestFit="1" customWidth="1"/>
    <col min="9" max="9" width="17.57421875" style="0" customWidth="1"/>
    <col min="10" max="16384" width="17.57421875" style="0" hidden="1" customWidth="1"/>
  </cols>
  <sheetData>
    <row r="1" spans="1:9" ht="36.75" customHeight="1">
      <c r="A1" s="2" t="s">
        <v>49</v>
      </c>
      <c r="B1" s="1" t="s">
        <v>15</v>
      </c>
      <c r="C1" s="1" t="s">
        <v>50</v>
      </c>
      <c r="D1" s="1" t="s">
        <v>52</v>
      </c>
      <c r="E1" s="1" t="s">
        <v>69</v>
      </c>
      <c r="F1" s="1" t="s">
        <v>2</v>
      </c>
      <c r="G1" s="1" t="s">
        <v>70</v>
      </c>
      <c r="H1" s="1" t="s">
        <v>71</v>
      </c>
      <c r="I1" s="1" t="s">
        <v>68</v>
      </c>
    </row>
    <row r="2" spans="1:9" ht="15">
      <c r="A2" s="47" t="s">
        <v>63</v>
      </c>
      <c r="B2" s="47" t="s">
        <v>64</v>
      </c>
      <c r="C2" s="47" t="s">
        <v>51</v>
      </c>
      <c r="D2" s="47">
        <v>500</v>
      </c>
      <c r="E2" s="47"/>
      <c r="F2" s="108">
        <v>38</v>
      </c>
      <c r="G2" s="86">
        <v>0.2</v>
      </c>
      <c r="H2" s="111">
        <f aca="true" t="shared" si="0" ref="H2:H14">IF(G2&gt;0,F2*(1+G2),F2)</f>
        <v>45.6</v>
      </c>
      <c r="I2" s="117">
        <f aca="true" t="shared" si="1" ref="I2:I10">IF(D2="","",SUM(H2/D2))</f>
        <v>0.0912</v>
      </c>
    </row>
    <row r="3" spans="1:9" ht="15">
      <c r="A3" s="47" t="s">
        <v>80</v>
      </c>
      <c r="B3" s="47">
        <v>0.6</v>
      </c>
      <c r="C3" s="47" t="s">
        <v>81</v>
      </c>
      <c r="D3" s="47">
        <v>500</v>
      </c>
      <c r="E3" s="47" t="s">
        <v>82</v>
      </c>
      <c r="F3" s="108">
        <v>55</v>
      </c>
      <c r="G3" s="86">
        <v>0.2</v>
      </c>
      <c r="H3" s="118">
        <f t="shared" si="0"/>
        <v>66</v>
      </c>
      <c r="I3" s="117">
        <f t="shared" si="1"/>
        <v>0.132</v>
      </c>
    </row>
    <row r="4" spans="1:9" ht="15">
      <c r="A4" s="47"/>
      <c r="B4" s="47"/>
      <c r="C4" s="47"/>
      <c r="D4" s="47"/>
      <c r="E4" s="47"/>
      <c r="F4" s="108"/>
      <c r="G4" s="86"/>
      <c r="H4" s="118">
        <f t="shared" si="0"/>
        <v>0</v>
      </c>
      <c r="I4" s="117">
        <f t="shared" si="1"/>
      </c>
    </row>
    <row r="5" spans="1:9" ht="15">
      <c r="A5" s="47"/>
      <c r="B5" s="47"/>
      <c r="C5" s="47"/>
      <c r="D5" s="47"/>
      <c r="E5" s="47"/>
      <c r="F5" s="108"/>
      <c r="G5" s="86"/>
      <c r="H5" s="118">
        <f t="shared" si="0"/>
        <v>0</v>
      </c>
      <c r="I5" s="117">
        <f t="shared" si="1"/>
      </c>
    </row>
    <row r="6" spans="1:9" ht="15">
      <c r="A6" s="47"/>
      <c r="B6" s="47"/>
      <c r="C6" s="47"/>
      <c r="D6" s="47"/>
      <c r="E6" s="47"/>
      <c r="F6" s="108"/>
      <c r="G6" s="86"/>
      <c r="H6" s="118">
        <f t="shared" si="0"/>
        <v>0</v>
      </c>
      <c r="I6" s="117">
        <f t="shared" si="1"/>
      </c>
    </row>
    <row r="7" spans="1:9" ht="15">
      <c r="A7" s="47"/>
      <c r="B7" s="47"/>
      <c r="C7" s="47"/>
      <c r="D7" s="47"/>
      <c r="E7" s="47"/>
      <c r="F7" s="108"/>
      <c r="G7" s="86"/>
      <c r="H7" s="118">
        <f t="shared" si="0"/>
        <v>0</v>
      </c>
      <c r="I7" s="117">
        <f t="shared" si="1"/>
      </c>
    </row>
    <row r="8" spans="1:9" ht="15">
      <c r="A8" s="48"/>
      <c r="B8" s="48"/>
      <c r="C8" s="48"/>
      <c r="D8" s="48"/>
      <c r="E8" s="48"/>
      <c r="F8" s="109"/>
      <c r="G8" s="86"/>
      <c r="H8" s="118">
        <f t="shared" si="0"/>
        <v>0</v>
      </c>
      <c r="I8" s="117">
        <f t="shared" si="1"/>
      </c>
    </row>
    <row r="9" spans="1:9" ht="15">
      <c r="A9" s="48"/>
      <c r="B9" s="48"/>
      <c r="C9" s="48"/>
      <c r="D9" s="48"/>
      <c r="E9" s="48"/>
      <c r="F9" s="109"/>
      <c r="G9" s="86"/>
      <c r="H9" s="118">
        <f t="shared" si="0"/>
        <v>0</v>
      </c>
      <c r="I9" s="117">
        <f t="shared" si="1"/>
      </c>
    </row>
    <row r="10" spans="1:9" ht="15">
      <c r="A10" s="48"/>
      <c r="B10" s="48"/>
      <c r="C10" s="48"/>
      <c r="D10" s="48"/>
      <c r="E10" s="48"/>
      <c r="F10" s="109"/>
      <c r="G10" s="86"/>
      <c r="H10" s="118">
        <f t="shared" si="0"/>
        <v>0</v>
      </c>
      <c r="I10" s="117">
        <f t="shared" si="1"/>
      </c>
    </row>
    <row r="11" spans="1:9" ht="15">
      <c r="A11" s="56"/>
      <c r="B11" s="56"/>
      <c r="C11" s="56"/>
      <c r="D11" s="56"/>
      <c r="E11" s="56"/>
      <c r="F11" s="110"/>
      <c r="G11" s="87"/>
      <c r="H11" s="119">
        <f t="shared" si="0"/>
        <v>0</v>
      </c>
      <c r="I11" s="120">
        <f aca="true" t="shared" si="2" ref="I11:I16">IF(D11="","",SUM(H11/D11))</f>
      </c>
    </row>
    <row r="12" spans="1:9" ht="15">
      <c r="A12" s="56"/>
      <c r="B12" s="56"/>
      <c r="C12" s="56"/>
      <c r="D12" s="56"/>
      <c r="E12" s="56"/>
      <c r="F12" s="110"/>
      <c r="G12" s="87"/>
      <c r="H12" s="119">
        <f t="shared" si="0"/>
        <v>0</v>
      </c>
      <c r="I12" s="120">
        <f t="shared" si="2"/>
      </c>
    </row>
    <row r="13" spans="1:9" ht="15">
      <c r="A13" s="56"/>
      <c r="B13" s="56"/>
      <c r="C13" s="56"/>
      <c r="D13" s="56"/>
      <c r="E13" s="56"/>
      <c r="F13" s="110"/>
      <c r="G13" s="87"/>
      <c r="H13" s="119">
        <f t="shared" si="0"/>
        <v>0</v>
      </c>
      <c r="I13" s="120">
        <f t="shared" si="2"/>
      </c>
    </row>
    <row r="14" spans="1:9" ht="15">
      <c r="A14" s="56"/>
      <c r="B14" s="56"/>
      <c r="C14" s="56"/>
      <c r="D14" s="56"/>
      <c r="E14" s="56"/>
      <c r="F14" s="110"/>
      <c r="G14" s="87"/>
      <c r="H14" s="119">
        <f t="shared" si="0"/>
        <v>0</v>
      </c>
      <c r="I14" s="120">
        <f t="shared" si="2"/>
      </c>
    </row>
    <row r="15" spans="1:9" ht="15">
      <c r="A15" s="85"/>
      <c r="B15" s="85"/>
      <c r="C15" s="85"/>
      <c r="D15" s="85"/>
      <c r="E15" s="56"/>
      <c r="F15" s="110"/>
      <c r="G15" s="87"/>
      <c r="H15" s="119">
        <f>IF(G15&gt;0,F15*(1+G15),F15)</f>
        <v>0</v>
      </c>
      <c r="I15" s="120">
        <f t="shared" si="2"/>
      </c>
    </row>
    <row r="16" spans="1:9" ht="15">
      <c r="A16" s="85"/>
      <c r="B16" s="85"/>
      <c r="C16" s="85"/>
      <c r="D16" s="85"/>
      <c r="E16" s="56"/>
      <c r="F16" s="110"/>
      <c r="G16" s="87"/>
      <c r="H16" s="122">
        <f>IF(G16&gt;0,F16*(1+G16),F16)</f>
        <v>0</v>
      </c>
      <c r="I16" s="120">
        <f t="shared" si="2"/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>
      <c r="A53" s="55" t="s">
        <v>67</v>
      </c>
    </row>
    <row r="54" ht="15"/>
    <row r="55" ht="15"/>
    <row r="56" ht="15"/>
    <row r="57" ht="15"/>
    <row r="58" ht="15"/>
    <row r="59" ht="15"/>
  </sheetData>
  <sheetProtection sheet="1" objects="1" scenarios="1" selectLockedCells="1"/>
  <dataValidations count="1">
    <dataValidation allowBlank="1" showInputMessage="1" showErrorMessage="1" promptTitle="Leather" sqref="A2:A16"/>
  </dataValidations>
  <printOptions/>
  <pageMargins left="0.7" right="0.7" top="0.75" bottom="0.75" header="0.3" footer="0.3"/>
  <pageSetup orientation="portrait" paperSize="9"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Sullivan</dc:creator>
  <cp:keywords/>
  <dc:description/>
  <cp:lastModifiedBy>Alex Sullivan</cp:lastModifiedBy>
  <cp:lastPrinted>2019-04-09T20:13:19Z</cp:lastPrinted>
  <dcterms:created xsi:type="dcterms:W3CDTF">2019-02-23T20:40:38Z</dcterms:created>
  <dcterms:modified xsi:type="dcterms:W3CDTF">2019-04-09T20:39:34Z</dcterms:modified>
  <cp:category/>
  <cp:version/>
  <cp:contentType/>
  <cp:contentStatus/>
</cp:coreProperties>
</file>